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8_{58D29B3B-2937-4539-95D7-2BB0A90E7BB9}" xr6:coauthVersionLast="47" xr6:coauthVersionMax="47" xr10:uidLastSave="{00000000-0000-0000-0000-000000000000}"/>
  <bookViews>
    <workbookView xWindow="-120" yWindow="-120" windowWidth="29040" windowHeight="15720"/>
  </bookViews>
  <sheets>
    <sheet name="Standing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E36" i="3"/>
  <c r="F32" i="3"/>
  <c r="E32" i="3"/>
  <c r="F37" i="3"/>
  <c r="E37" i="3"/>
  <c r="H37" i="3"/>
  <c r="F28" i="3"/>
  <c r="E28" i="3"/>
  <c r="F35" i="3"/>
  <c r="Q35" i="3"/>
  <c r="E35" i="3"/>
  <c r="F34" i="3"/>
  <c r="E34" i="3"/>
  <c r="F25" i="3"/>
  <c r="E25" i="3"/>
  <c r="F27" i="3"/>
  <c r="E27" i="3"/>
  <c r="Q27" i="3"/>
  <c r="F30" i="3"/>
  <c r="E30" i="3"/>
  <c r="F17" i="3"/>
  <c r="E17" i="3"/>
  <c r="F33" i="3"/>
  <c r="E33" i="3"/>
  <c r="F31" i="3"/>
  <c r="E31" i="3"/>
  <c r="E26" i="3"/>
  <c r="F26" i="3"/>
  <c r="F29" i="3"/>
  <c r="Q29" i="3"/>
  <c r="E29" i="3"/>
  <c r="M21" i="3"/>
  <c r="L21" i="3"/>
  <c r="F21" i="3"/>
  <c r="E21" i="3"/>
  <c r="M13" i="3"/>
  <c r="F13" i="3"/>
  <c r="E13" i="3"/>
  <c r="M20" i="3"/>
  <c r="F20" i="3"/>
  <c r="E20" i="3"/>
  <c r="M16" i="3"/>
  <c r="L16" i="3"/>
  <c r="F16" i="3"/>
  <c r="E16" i="3"/>
  <c r="M19" i="3"/>
  <c r="O19" i="3"/>
  <c r="L19" i="3"/>
  <c r="F19" i="3"/>
  <c r="E19" i="3"/>
  <c r="M24" i="3"/>
  <c r="O24" i="3"/>
  <c r="F24" i="3"/>
  <c r="E24" i="3"/>
  <c r="M22" i="3"/>
  <c r="L22" i="3"/>
  <c r="O22" i="3"/>
  <c r="F22" i="3"/>
  <c r="H22" i="3"/>
  <c r="E22" i="3"/>
  <c r="M14" i="3"/>
  <c r="O14" i="3"/>
  <c r="L14" i="3"/>
  <c r="F14" i="3"/>
  <c r="E14" i="3"/>
  <c r="M11" i="3"/>
  <c r="L11" i="3"/>
  <c r="F11" i="3"/>
  <c r="E11" i="3"/>
  <c r="M12" i="3"/>
  <c r="L12" i="3"/>
  <c r="F12" i="3"/>
  <c r="E12" i="3"/>
  <c r="M28" i="3"/>
  <c r="M32" i="3"/>
  <c r="M26" i="3"/>
  <c r="M25" i="3"/>
  <c r="O25" i="3"/>
  <c r="M23" i="3"/>
  <c r="F23" i="3"/>
  <c r="E23" i="3"/>
  <c r="Q18" i="3"/>
  <c r="O18" i="3"/>
  <c r="H18" i="3"/>
  <c r="L10" i="3"/>
  <c r="F10" i="3"/>
  <c r="E10" i="3"/>
  <c r="H10" i="3"/>
  <c r="M15" i="3"/>
  <c r="L15" i="3"/>
  <c r="F15" i="3"/>
  <c r="E15" i="3"/>
  <c r="O37" i="3"/>
  <c r="Q37" i="3"/>
  <c r="Q33" i="3"/>
  <c r="M43" i="3"/>
  <c r="O43" i="3"/>
  <c r="F43" i="3"/>
  <c r="E43" i="3"/>
  <c r="Q30" i="3"/>
  <c r="O30" i="3"/>
  <c r="O36" i="3"/>
  <c r="O34" i="3"/>
  <c r="O33" i="3"/>
  <c r="O35" i="3"/>
  <c r="O45" i="3"/>
  <c r="F44" i="3"/>
  <c r="E44" i="3"/>
  <c r="H44" i="3"/>
  <c r="Q31" i="3"/>
  <c r="Q21" i="3"/>
  <c r="O11" i="3"/>
  <c r="Q11" i="3"/>
  <c r="F40" i="3"/>
  <c r="E40" i="3"/>
  <c r="O13" i="3"/>
  <c r="H13" i="3"/>
  <c r="O12" i="3"/>
  <c r="F41" i="3"/>
  <c r="E41" i="3"/>
  <c r="Q47" i="3"/>
  <c r="Q46" i="3"/>
  <c r="Q38" i="3"/>
  <c r="F39" i="3"/>
  <c r="E39" i="3"/>
  <c r="F42" i="3"/>
  <c r="E42" i="3"/>
  <c r="F45" i="3"/>
  <c r="E45" i="3"/>
  <c r="O31" i="3"/>
  <c r="G34" i="3"/>
  <c r="Q34" i="3"/>
  <c r="O40" i="3"/>
  <c r="O41" i="3"/>
  <c r="G19" i="3"/>
  <c r="O32" i="3"/>
  <c r="O23" i="3"/>
  <c r="O42" i="3"/>
  <c r="J49" i="3"/>
  <c r="O29" i="3"/>
  <c r="O17" i="3"/>
  <c r="H47" i="3"/>
  <c r="O20" i="3"/>
  <c r="O28" i="3"/>
  <c r="O16" i="3"/>
  <c r="O27" i="3"/>
  <c r="O39" i="3"/>
  <c r="O44" i="3"/>
  <c r="O26" i="3"/>
  <c r="H46" i="3"/>
  <c r="Q24" i="3"/>
  <c r="H29" i="3"/>
  <c r="Q41" i="3"/>
  <c r="Q10" i="3"/>
  <c r="H26" i="3"/>
  <c r="Q28" i="3"/>
  <c r="Q22" i="3"/>
  <c r="H16" i="3"/>
  <c r="G49" i="3"/>
  <c r="H25" i="3"/>
  <c r="H28" i="3"/>
  <c r="M49" i="3"/>
  <c r="H35" i="3"/>
  <c r="Q17" i="3"/>
  <c r="H39" i="3"/>
  <c r="Q20" i="3"/>
  <c r="H27" i="3"/>
  <c r="Q13" i="3"/>
  <c r="Q43" i="3"/>
  <c r="Q36" i="3"/>
  <c r="O15" i="3"/>
  <c r="H24" i="3"/>
  <c r="H42" i="3"/>
  <c r="Q12" i="3"/>
  <c r="Q23" i="3"/>
  <c r="H11" i="3"/>
  <c r="H17" i="3"/>
  <c r="Q19" i="3"/>
  <c r="H23" i="3"/>
  <c r="H20" i="3"/>
  <c r="H41" i="3"/>
  <c r="Q16" i="3"/>
  <c r="H33" i="3"/>
  <c r="H32" i="3"/>
  <c r="Q40" i="3"/>
  <c r="Q14" i="3"/>
  <c r="H31" i="3"/>
  <c r="H34" i="3"/>
  <c r="Q42" i="3"/>
  <c r="H45" i="3"/>
  <c r="Q26" i="3"/>
  <c r="H21" i="3"/>
  <c r="Q32" i="3"/>
  <c r="O21" i="3"/>
  <c r="Q44" i="3"/>
  <c r="H30" i="3"/>
  <c r="Q39" i="3"/>
  <c r="H43" i="3"/>
  <c r="H40" i="3"/>
  <c r="H19" i="3"/>
  <c r="H36" i="3"/>
  <c r="Q25" i="3"/>
  <c r="Q45" i="3"/>
  <c r="F49" i="3"/>
  <c r="H14" i="3"/>
  <c r="L49" i="3"/>
  <c r="H12" i="3"/>
  <c r="O10" i="3"/>
  <c r="Q15" i="3"/>
  <c r="E49" i="3"/>
  <c r="H15" i="3"/>
  <c r="Q49" i="3"/>
</calcChain>
</file>

<file path=xl/sharedStrings.xml><?xml version="1.0" encoding="utf-8"?>
<sst xmlns="http://schemas.openxmlformats.org/spreadsheetml/2006/main" count="127" uniqueCount="95">
  <si>
    <t>Buffalo Bills</t>
  </si>
  <si>
    <t>Dale</t>
  </si>
  <si>
    <t>Nathan</t>
  </si>
  <si>
    <t>Team</t>
  </si>
  <si>
    <t>Yr</t>
  </si>
  <si>
    <t>Wins</t>
  </si>
  <si>
    <t>Losses</t>
  </si>
  <si>
    <t>Ties</t>
  </si>
  <si>
    <t>Win%</t>
  </si>
  <si>
    <t>Baltimore Ravens</t>
  </si>
  <si>
    <t>Detroit Lions</t>
  </si>
  <si>
    <t>New York Giants</t>
  </si>
  <si>
    <t>Atlanta Falcons</t>
  </si>
  <si>
    <t>Kansas City Chiefs</t>
  </si>
  <si>
    <t>Dallas Cowboys</t>
  </si>
  <si>
    <t>Washington Redskins</t>
  </si>
  <si>
    <t>Pittsburgh Steelers</t>
  </si>
  <si>
    <t>Minnesota Vikings</t>
  </si>
  <si>
    <t>Green Bay Packers</t>
  </si>
  <si>
    <t>Philadelphia Eagles</t>
  </si>
  <si>
    <t>Seattle Seahawks</t>
  </si>
  <si>
    <t>Oakland Raiders</t>
  </si>
  <si>
    <t>Arizona Cardinals</t>
  </si>
  <si>
    <t>Tennessee Titans</t>
  </si>
  <si>
    <t>Chicago Bears</t>
  </si>
  <si>
    <t>Jacksonville Jaguars</t>
  </si>
  <si>
    <t>Coach</t>
  </si>
  <si>
    <t>Paul</t>
  </si>
  <si>
    <t>Ron</t>
  </si>
  <si>
    <t>Zeb</t>
  </si>
  <si>
    <t>Neil</t>
  </si>
  <si>
    <t>Years</t>
  </si>
  <si>
    <t>Champ</t>
  </si>
  <si>
    <t>Lawrence</t>
  </si>
  <si>
    <t>Jeff B.</t>
  </si>
  <si>
    <t>Dan M.</t>
  </si>
  <si>
    <t>Miami Dolphins</t>
  </si>
  <si>
    <t>Joe G.</t>
  </si>
  <si>
    <t>Mick</t>
  </si>
  <si>
    <t>Dennis/Tom</t>
  </si>
  <si>
    <t>Joe H.</t>
  </si>
  <si>
    <t>Regular Season</t>
  </si>
  <si>
    <t>mini-Playoffs + Playoffs</t>
  </si>
  <si>
    <t>Los Angeles Rams</t>
  </si>
  <si>
    <t>Michael R.</t>
  </si>
  <si>
    <t>Dave G.</t>
  </si>
  <si>
    <t>Cincinnati Bengals</t>
  </si>
  <si>
    <t>Curt R.</t>
  </si>
  <si>
    <t>Jeff S.</t>
  </si>
  <si>
    <t>New England  Patriots</t>
  </si>
  <si>
    <t>Bradly</t>
  </si>
  <si>
    <t>Mike R.</t>
  </si>
  <si>
    <t>Jason</t>
  </si>
  <si>
    <t>Dan T.</t>
  </si>
  <si>
    <t>Butch</t>
  </si>
  <si>
    <t>Jody</t>
  </si>
  <si>
    <t>Indianapolis Colts</t>
  </si>
  <si>
    <t>Ryan P.</t>
  </si>
  <si>
    <t>Joe D.</t>
  </si>
  <si>
    <t>Tyke/Nick</t>
  </si>
  <si>
    <t>Chuck</t>
  </si>
  <si>
    <t>Carolina Panthers</t>
  </si>
  <si>
    <t>Tony P.</t>
  </si>
  <si>
    <t>2016, 2017</t>
  </si>
  <si>
    <t>Brian F.</t>
  </si>
  <si>
    <t>Aaron</t>
  </si>
  <si>
    <t>2016, 2017, 2018</t>
  </si>
  <si>
    <t>STRAT 28 LIFETIME RECORDS</t>
  </si>
  <si>
    <t>John M.</t>
  </si>
  <si>
    <t>Houston Texans</t>
  </si>
  <si>
    <t>Ed C.</t>
  </si>
  <si>
    <t>Cleveland Browns</t>
  </si>
  <si>
    <t>2016, 2017, 2018, 2019</t>
  </si>
  <si>
    <t>Brian H.</t>
  </si>
  <si>
    <t>New England Patriots</t>
  </si>
  <si>
    <t>2018, 2019</t>
  </si>
  <si>
    <t>Tom V.</t>
  </si>
  <si>
    <t>New York Jets</t>
  </si>
  <si>
    <t>Mike N.</t>
  </si>
  <si>
    <t>Los Angeles Chargers</t>
  </si>
  <si>
    <t>Mike V.</t>
  </si>
  <si>
    <t>through the 2020 season</t>
  </si>
  <si>
    <t>updated 2/5/2022</t>
  </si>
  <si>
    <t>2016, 2017, 2018, 2019, 2020</t>
  </si>
  <si>
    <t>Cleveland Browns (Tampa Bay)</t>
  </si>
  <si>
    <t>San Francisco 49ers</t>
  </si>
  <si>
    <t>Las Vegas Raiders</t>
  </si>
  <si>
    <t>New Orleans Saints</t>
  </si>
  <si>
    <t>Tim B.</t>
  </si>
  <si>
    <t>2017, 2018, 2019, 2020</t>
  </si>
  <si>
    <t>2019, 2020</t>
  </si>
  <si>
    <t>Denver Broncos (Dallas)</t>
  </si>
  <si>
    <t>Tampa Bay (Denver)</t>
  </si>
  <si>
    <t>2018, 2019, 2020</t>
  </si>
  <si>
    <t>2016, 2017, 2020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</si>
</sst>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abSelected="1" topLeftCell="A5" workbookViewId="0">
      <selection activeCell="D34" sqref="D34"/>
    </sheetView>
  </sheetViews>
  <sheetFormatPr defaultRowHeight="12.75" x14ac:dyDescent="0.2"/>
  <cols>
    <col min="1" max="1" width="10.85546875" customWidth="1"/>
    <col min="2" max="2" width="24.7109375" customWidth="1"/>
    <col min="3" max="3" width="3.28515625" style="4" customWidth="1"/>
    <col min="4" max="4" width="26.140625" style="4" bestFit="1" customWidth="1"/>
    <col min="5" max="6" width="6.85546875" customWidth="1"/>
    <col min="7" max="7" width="5" customWidth="1"/>
    <col min="8" max="8" width="6" bestFit="1" customWidth="1"/>
    <col min="9" max="9" width="3.7109375" customWidth="1"/>
    <col min="10" max="10" width="7.42578125" style="11" bestFit="1" customWidth="1"/>
    <col min="11" max="11" width="3.28515625" style="4" customWidth="1"/>
    <col min="12" max="13" width="6.85546875" customWidth="1"/>
    <col min="14" max="14" width="5" customWidth="1"/>
    <col min="15" max="15" width="8.5703125" bestFit="1" customWidth="1"/>
    <col min="16" max="16" width="4.85546875" customWidth="1"/>
    <col min="17" max="17" width="6" bestFit="1" customWidth="1"/>
  </cols>
  <sheetData>
    <row r="2" spans="1:17" ht="20.25" x14ac:dyDescent="0.3">
      <c r="E2" s="10" t="s">
        <v>67</v>
      </c>
      <c r="K2" s="10"/>
    </row>
    <row r="3" spans="1:17" x14ac:dyDescent="0.2">
      <c r="A3" s="1"/>
      <c r="C3" s="2"/>
      <c r="D3" s="3"/>
      <c r="E3" s="13" t="s">
        <v>81</v>
      </c>
      <c r="H3" s="4"/>
      <c r="I3" s="4"/>
      <c r="J3" s="4"/>
      <c r="L3" s="4"/>
      <c r="M3" s="4"/>
      <c r="N3" s="4"/>
      <c r="O3" s="4"/>
      <c r="P3" s="4"/>
    </row>
    <row r="4" spans="1:17" s="14" customFormat="1" ht="12.75" customHeight="1" x14ac:dyDescent="0.2">
      <c r="C4" s="15"/>
      <c r="D4" s="15"/>
      <c r="E4" s="16" t="s">
        <v>82</v>
      </c>
      <c r="G4" s="17"/>
      <c r="J4" s="18"/>
      <c r="K4" s="17"/>
    </row>
    <row r="5" spans="1:17" x14ac:dyDescent="0.2">
      <c r="E5" s="4"/>
      <c r="L5" s="4"/>
    </row>
    <row r="6" spans="1:17" x14ac:dyDescent="0.2">
      <c r="D6" s="6"/>
      <c r="E6" s="7" t="s">
        <v>41</v>
      </c>
      <c r="L6" s="7" t="s">
        <v>42</v>
      </c>
    </row>
    <row r="7" spans="1:17" x14ac:dyDescent="0.2">
      <c r="C7" s="6"/>
      <c r="D7" s="6"/>
      <c r="L7" s="6"/>
    </row>
    <row r="8" spans="1:17" x14ac:dyDescent="0.2">
      <c r="A8" s="8" t="s">
        <v>26</v>
      </c>
      <c r="B8" s="8" t="s">
        <v>3</v>
      </c>
      <c r="C8" s="9" t="s">
        <v>4</v>
      </c>
      <c r="D8" s="9" t="s">
        <v>31</v>
      </c>
      <c r="E8" s="9" t="s">
        <v>5</v>
      </c>
      <c r="F8" s="9" t="s">
        <v>6</v>
      </c>
      <c r="G8" s="9" t="s">
        <v>7</v>
      </c>
      <c r="H8" s="9" t="s">
        <v>8</v>
      </c>
      <c r="I8" s="9"/>
      <c r="J8" s="12" t="s">
        <v>32</v>
      </c>
      <c r="K8" s="9" t="s">
        <v>4</v>
      </c>
      <c r="L8" s="9" t="s">
        <v>5</v>
      </c>
      <c r="M8" s="9" t="s">
        <v>6</v>
      </c>
      <c r="N8" s="9" t="s">
        <v>7</v>
      </c>
      <c r="O8" s="9" t="s">
        <v>8</v>
      </c>
    </row>
    <row r="10" spans="1:17" x14ac:dyDescent="0.2">
      <c r="A10" t="s">
        <v>39</v>
      </c>
      <c r="B10" t="s">
        <v>20</v>
      </c>
      <c r="C10" s="4">
        <v>5</v>
      </c>
      <c r="D10" s="19" t="s">
        <v>83</v>
      </c>
      <c r="E10" s="4">
        <f>12+14+14+12+13</f>
        <v>65</v>
      </c>
      <c r="F10" s="4">
        <f>3+2+2+4+3</f>
        <v>14</v>
      </c>
      <c r="G10" s="4">
        <v>1</v>
      </c>
      <c r="H10" s="5">
        <f t="shared" ref="H10:H37" si="0">IF(E10+F10=0,"",E10/(F10+E10)*100)</f>
        <v>82.278481012658233</v>
      </c>
      <c r="I10" s="5"/>
      <c r="J10" s="2">
        <v>1</v>
      </c>
      <c r="K10" s="4">
        <v>5</v>
      </c>
      <c r="L10" s="13">
        <f>1+1+3</f>
        <v>5</v>
      </c>
      <c r="M10" s="4">
        <v>4</v>
      </c>
      <c r="N10" s="4"/>
      <c r="O10" s="5">
        <f t="shared" ref="O10:O37" si="1">IF(L10+M10=0,"",L10/(M10+L10)*100)</f>
        <v>55.555555555555557</v>
      </c>
      <c r="Q10">
        <f t="shared" ref="Q10:Q47" si="2">E10+F10+G10</f>
        <v>80</v>
      </c>
    </row>
    <row r="11" spans="1:17" x14ac:dyDescent="0.2">
      <c r="A11" s="22" t="s">
        <v>76</v>
      </c>
      <c r="B11" s="22" t="s">
        <v>77</v>
      </c>
      <c r="C11" s="4">
        <v>2</v>
      </c>
      <c r="D11" s="19" t="s">
        <v>90</v>
      </c>
      <c r="E11" s="4">
        <f>14+12</f>
        <v>26</v>
      </c>
      <c r="F11" s="4">
        <f>2+4</f>
        <v>6</v>
      </c>
      <c r="G11" s="4"/>
      <c r="H11" s="5">
        <f t="shared" si="0"/>
        <v>81.25</v>
      </c>
      <c r="I11" s="5"/>
      <c r="J11" s="2"/>
      <c r="K11" s="4">
        <v>2</v>
      </c>
      <c r="L11" s="13">
        <f>1</f>
        <v>1</v>
      </c>
      <c r="M11" s="4">
        <f>1+1</f>
        <v>2</v>
      </c>
      <c r="N11" s="4"/>
      <c r="O11" s="5">
        <f t="shared" si="1"/>
        <v>33.333333333333329</v>
      </c>
      <c r="Q11">
        <f t="shared" si="2"/>
        <v>32</v>
      </c>
    </row>
    <row r="12" spans="1:17" x14ac:dyDescent="0.2">
      <c r="A12" t="s">
        <v>2</v>
      </c>
      <c r="B12" t="s">
        <v>43</v>
      </c>
      <c r="C12" s="4">
        <v>5</v>
      </c>
      <c r="D12" s="19" t="s">
        <v>83</v>
      </c>
      <c r="E12" s="13">
        <f>12+15+12+12+12</f>
        <v>63</v>
      </c>
      <c r="F12" s="4">
        <f>3+1+4+4+4</f>
        <v>16</v>
      </c>
      <c r="G12" s="4">
        <v>1</v>
      </c>
      <c r="H12" s="5">
        <f t="shared" si="0"/>
        <v>79.74683544303798</v>
      </c>
      <c r="I12" s="5"/>
      <c r="J12" s="2">
        <v>2</v>
      </c>
      <c r="K12" s="4">
        <v>5</v>
      </c>
      <c r="L12" s="13">
        <f>4+4+2</f>
        <v>10</v>
      </c>
      <c r="M12" s="4">
        <f>2+1</f>
        <v>3</v>
      </c>
      <c r="N12" s="4"/>
      <c r="O12" s="5">
        <f t="shared" si="1"/>
        <v>76.923076923076934</v>
      </c>
      <c r="Q12">
        <f t="shared" si="2"/>
        <v>80</v>
      </c>
    </row>
    <row r="13" spans="1:17" x14ac:dyDescent="0.2">
      <c r="A13" s="22" t="s">
        <v>73</v>
      </c>
      <c r="B13" s="22" t="s">
        <v>74</v>
      </c>
      <c r="C13" s="4">
        <v>2</v>
      </c>
      <c r="D13" s="19" t="s">
        <v>90</v>
      </c>
      <c r="E13" s="4">
        <f>12+9</f>
        <v>21</v>
      </c>
      <c r="F13" s="4">
        <f>4+7</f>
        <v>11</v>
      </c>
      <c r="G13" s="4"/>
      <c r="H13" s="5">
        <f t="shared" si="0"/>
        <v>65.625</v>
      </c>
      <c r="I13" s="5"/>
      <c r="J13" s="2"/>
      <c r="K13" s="4">
        <v>2</v>
      </c>
      <c r="L13" s="4">
        <v>1</v>
      </c>
      <c r="M13" s="13">
        <f>1+1</f>
        <v>2</v>
      </c>
      <c r="N13" s="4"/>
      <c r="O13" s="5">
        <f t="shared" si="1"/>
        <v>33.333333333333329</v>
      </c>
      <c r="Q13">
        <f t="shared" si="2"/>
        <v>32</v>
      </c>
    </row>
    <row r="14" spans="1:17" x14ac:dyDescent="0.2">
      <c r="A14" t="s">
        <v>28</v>
      </c>
      <c r="B14" t="s">
        <v>16</v>
      </c>
      <c r="C14" s="4">
        <v>5</v>
      </c>
      <c r="D14" s="19" t="s">
        <v>83</v>
      </c>
      <c r="E14" s="4">
        <f>8+7+11+13+12</f>
        <v>51</v>
      </c>
      <c r="F14" s="4">
        <f>8+9+5+3+4</f>
        <v>29</v>
      </c>
      <c r="G14" s="4"/>
      <c r="H14" s="5">
        <f t="shared" si="0"/>
        <v>63.749999999999993</v>
      </c>
      <c r="I14" s="5"/>
      <c r="J14" s="2"/>
      <c r="K14" s="4">
        <v>3</v>
      </c>
      <c r="L14" s="13">
        <f>3+2+2</f>
        <v>7</v>
      </c>
      <c r="M14" s="13">
        <f>1+1+1</f>
        <v>3</v>
      </c>
      <c r="N14" s="4"/>
      <c r="O14" s="5">
        <f t="shared" si="1"/>
        <v>70</v>
      </c>
      <c r="Q14">
        <f t="shared" si="2"/>
        <v>80</v>
      </c>
    </row>
    <row r="15" spans="1:17" x14ac:dyDescent="0.2">
      <c r="A15" t="s">
        <v>29</v>
      </c>
      <c r="B15" s="20" t="s">
        <v>9</v>
      </c>
      <c r="C15" s="4">
        <v>5</v>
      </c>
      <c r="D15" s="19" t="s">
        <v>83</v>
      </c>
      <c r="E15" s="4">
        <f>8+2+13+13+15</f>
        <v>51</v>
      </c>
      <c r="F15" s="4">
        <f>14+8+3+3+1</f>
        <v>29</v>
      </c>
      <c r="G15" s="4"/>
      <c r="H15" s="5">
        <f t="shared" si="0"/>
        <v>63.749999999999993</v>
      </c>
      <c r="J15" s="2">
        <v>1</v>
      </c>
      <c r="K15" s="4">
        <v>3</v>
      </c>
      <c r="L15" s="4">
        <f>3+2</f>
        <v>5</v>
      </c>
      <c r="M15" s="4">
        <f>1+1</f>
        <v>2</v>
      </c>
      <c r="O15" s="5">
        <f t="shared" si="1"/>
        <v>71.428571428571431</v>
      </c>
      <c r="Q15">
        <f t="shared" si="2"/>
        <v>80</v>
      </c>
    </row>
    <row r="16" spans="1:17" x14ac:dyDescent="0.2">
      <c r="A16" t="s">
        <v>59</v>
      </c>
      <c r="B16" t="s">
        <v>23</v>
      </c>
      <c r="C16" s="4">
        <v>5</v>
      </c>
      <c r="D16" s="19" t="s">
        <v>83</v>
      </c>
      <c r="E16" s="4">
        <f>9+9+8+14+10</f>
        <v>50</v>
      </c>
      <c r="F16" s="4">
        <f>7+7+8+2+6</f>
        <v>30</v>
      </c>
      <c r="G16" s="4"/>
      <c r="H16" s="5">
        <f t="shared" si="0"/>
        <v>62.5</v>
      </c>
      <c r="I16" s="5"/>
      <c r="J16" s="2"/>
      <c r="K16" s="4">
        <v>4</v>
      </c>
      <c r="L16" s="4">
        <f>1+1</f>
        <v>2</v>
      </c>
      <c r="M16" s="4">
        <f>1+1+1+1</f>
        <v>4</v>
      </c>
      <c r="N16" s="4"/>
      <c r="O16" s="5">
        <f t="shared" si="1"/>
        <v>33.333333333333329</v>
      </c>
      <c r="Q16">
        <f t="shared" si="2"/>
        <v>80</v>
      </c>
    </row>
    <row r="17" spans="1:17" x14ac:dyDescent="0.2">
      <c r="A17" t="s">
        <v>33</v>
      </c>
      <c r="B17" s="22" t="s">
        <v>85</v>
      </c>
      <c r="C17" s="4">
        <v>3</v>
      </c>
      <c r="D17" s="19" t="s">
        <v>94</v>
      </c>
      <c r="E17" s="4">
        <f>12+11+7</f>
        <v>30</v>
      </c>
      <c r="F17" s="4">
        <f>4+5+9</f>
        <v>18</v>
      </c>
      <c r="G17" s="4"/>
      <c r="H17" s="5">
        <f t="shared" si="0"/>
        <v>62.5</v>
      </c>
      <c r="I17" s="5"/>
      <c r="J17" s="2"/>
      <c r="K17" s="4">
        <v>2</v>
      </c>
      <c r="L17" s="21">
        <v>1</v>
      </c>
      <c r="M17" s="4">
        <v>2</v>
      </c>
      <c r="N17" s="4"/>
      <c r="O17" s="5">
        <f t="shared" si="1"/>
        <v>33.333333333333329</v>
      </c>
      <c r="Q17">
        <f t="shared" si="2"/>
        <v>48</v>
      </c>
    </row>
    <row r="18" spans="1:17" x14ac:dyDescent="0.2">
      <c r="A18" s="22" t="s">
        <v>88</v>
      </c>
      <c r="B18" s="22" t="s">
        <v>14</v>
      </c>
      <c r="C18" s="4">
        <v>1</v>
      </c>
      <c r="D18" s="19">
        <v>2020</v>
      </c>
      <c r="E18" s="4">
        <v>10</v>
      </c>
      <c r="F18" s="4">
        <v>6</v>
      </c>
      <c r="G18" s="4"/>
      <c r="H18" s="5">
        <f t="shared" si="0"/>
        <v>62.5</v>
      </c>
      <c r="I18" s="5"/>
      <c r="J18" s="2"/>
      <c r="K18" s="4">
        <v>1</v>
      </c>
      <c r="L18" s="4">
        <v>0</v>
      </c>
      <c r="M18" s="4">
        <v>1</v>
      </c>
      <c r="N18" s="4"/>
      <c r="O18" s="5">
        <f t="shared" si="1"/>
        <v>0</v>
      </c>
      <c r="Q18">
        <f t="shared" si="2"/>
        <v>16</v>
      </c>
    </row>
    <row r="19" spans="1:17" x14ac:dyDescent="0.2">
      <c r="A19" t="s">
        <v>47</v>
      </c>
      <c r="B19" s="22" t="s">
        <v>92</v>
      </c>
      <c r="C19" s="4">
        <v>5</v>
      </c>
      <c r="D19" s="19" t="s">
        <v>83</v>
      </c>
      <c r="E19" s="4">
        <f>11+11+9+8+10</f>
        <v>49</v>
      </c>
      <c r="F19" s="4">
        <f>5+5+6+8+6</f>
        <v>30</v>
      </c>
      <c r="G19" s="4">
        <f>1</f>
        <v>1</v>
      </c>
      <c r="H19" s="5">
        <f t="shared" si="0"/>
        <v>62.025316455696199</v>
      </c>
      <c r="I19" s="5"/>
      <c r="J19" s="2"/>
      <c r="K19" s="4">
        <v>4</v>
      </c>
      <c r="L19" s="4">
        <f>3+1</f>
        <v>4</v>
      </c>
      <c r="M19" s="4">
        <f>3+1</f>
        <v>4</v>
      </c>
      <c r="N19" s="4"/>
      <c r="O19" s="5">
        <f t="shared" si="1"/>
        <v>50</v>
      </c>
      <c r="Q19">
        <f t="shared" si="2"/>
        <v>80</v>
      </c>
    </row>
    <row r="20" spans="1:17" x14ac:dyDescent="0.2">
      <c r="A20" t="s">
        <v>1</v>
      </c>
      <c r="B20" t="s">
        <v>13</v>
      </c>
      <c r="C20" s="4">
        <v>5</v>
      </c>
      <c r="D20" s="19" t="s">
        <v>83</v>
      </c>
      <c r="E20" s="4">
        <f>10+9+7+11+9</f>
        <v>46</v>
      </c>
      <c r="F20" s="4">
        <f>6+7+9+5+7</f>
        <v>34</v>
      </c>
      <c r="G20" s="4"/>
      <c r="H20" s="5">
        <f t="shared" si="0"/>
        <v>57.499999999999993</v>
      </c>
      <c r="J20" s="2"/>
      <c r="K20" s="4">
        <v>4</v>
      </c>
      <c r="L20" s="4">
        <v>3</v>
      </c>
      <c r="M20" s="4">
        <f>3+1</f>
        <v>4</v>
      </c>
      <c r="O20" s="5">
        <f t="shared" si="1"/>
        <v>42.857142857142854</v>
      </c>
      <c r="Q20">
        <f t="shared" si="2"/>
        <v>80</v>
      </c>
    </row>
    <row r="21" spans="1:17" x14ac:dyDescent="0.2">
      <c r="A21" t="s">
        <v>37</v>
      </c>
      <c r="B21" t="s">
        <v>11</v>
      </c>
      <c r="C21" s="4">
        <v>5</v>
      </c>
      <c r="D21" s="19" t="s">
        <v>83</v>
      </c>
      <c r="E21" s="4">
        <f>4+10+10+12+9</f>
        <v>45</v>
      </c>
      <c r="F21" s="4">
        <f>12+6+6+4+7</f>
        <v>35</v>
      </c>
      <c r="G21" s="4"/>
      <c r="H21" s="5">
        <f t="shared" si="0"/>
        <v>56.25</v>
      </c>
      <c r="I21" s="5"/>
      <c r="J21" s="2"/>
      <c r="K21" s="4">
        <v>4</v>
      </c>
      <c r="L21" s="4">
        <f>2+2+1</f>
        <v>5</v>
      </c>
      <c r="M21" s="4">
        <f>2+1+1</f>
        <v>4</v>
      </c>
      <c r="N21" s="4"/>
      <c r="O21" s="5">
        <f t="shared" si="1"/>
        <v>55.555555555555557</v>
      </c>
      <c r="Q21">
        <f t="shared" si="2"/>
        <v>80</v>
      </c>
    </row>
    <row r="22" spans="1:17" x14ac:dyDescent="0.2">
      <c r="A22" s="22" t="s">
        <v>78</v>
      </c>
      <c r="B22" s="22" t="s">
        <v>91</v>
      </c>
      <c r="C22" s="4">
        <v>2</v>
      </c>
      <c r="D22" s="19" t="s">
        <v>90</v>
      </c>
      <c r="E22" s="4">
        <f>1+10</f>
        <v>11</v>
      </c>
      <c r="F22" s="4">
        <f>3+6</f>
        <v>9</v>
      </c>
      <c r="G22" s="4"/>
      <c r="H22" s="5">
        <f t="shared" si="0"/>
        <v>55.000000000000007</v>
      </c>
      <c r="I22" s="5"/>
      <c r="J22" s="2"/>
      <c r="K22" s="4">
        <v>1</v>
      </c>
      <c r="L22" s="4">
        <f>1</f>
        <v>1</v>
      </c>
      <c r="M22" s="4">
        <f>1</f>
        <v>1</v>
      </c>
      <c r="N22" s="4"/>
      <c r="O22" s="5">
        <f t="shared" si="1"/>
        <v>50</v>
      </c>
      <c r="Q22">
        <f t="shared" si="2"/>
        <v>20</v>
      </c>
    </row>
    <row r="23" spans="1:17" x14ac:dyDescent="0.2">
      <c r="A23" s="22" t="s">
        <v>64</v>
      </c>
      <c r="B23" t="s">
        <v>0</v>
      </c>
      <c r="C23" s="4">
        <v>4</v>
      </c>
      <c r="D23" s="19" t="s">
        <v>89</v>
      </c>
      <c r="E23" s="4">
        <f>10+8+5+12</f>
        <v>35</v>
      </c>
      <c r="F23" s="4">
        <f>6+8+11+4</f>
        <v>29</v>
      </c>
      <c r="G23" s="4"/>
      <c r="H23" s="5">
        <f t="shared" si="0"/>
        <v>54.6875</v>
      </c>
      <c r="I23" s="5"/>
      <c r="J23" s="2"/>
      <c r="K23" s="4">
        <v>2</v>
      </c>
      <c r="L23" s="4">
        <v>2</v>
      </c>
      <c r="M23" s="13">
        <f>1+1</f>
        <v>2</v>
      </c>
      <c r="N23" s="4"/>
      <c r="O23" s="5">
        <f t="shared" si="1"/>
        <v>50</v>
      </c>
      <c r="Q23">
        <f t="shared" si="2"/>
        <v>64</v>
      </c>
    </row>
    <row r="24" spans="1:17" x14ac:dyDescent="0.2">
      <c r="A24" t="s">
        <v>68</v>
      </c>
      <c r="B24" t="s">
        <v>69</v>
      </c>
      <c r="C24" s="4">
        <v>3</v>
      </c>
      <c r="D24" s="19" t="s">
        <v>93</v>
      </c>
      <c r="E24" s="4">
        <f>6+8+10</f>
        <v>24</v>
      </c>
      <c r="F24" s="4">
        <f>10+7+6</f>
        <v>23</v>
      </c>
      <c r="G24" s="4">
        <v>1</v>
      </c>
      <c r="H24" s="5">
        <f t="shared" si="0"/>
        <v>51.063829787234042</v>
      </c>
      <c r="I24" s="5"/>
      <c r="J24" s="2"/>
      <c r="K24" s="4">
        <v>2</v>
      </c>
      <c r="L24" s="4">
        <v>0</v>
      </c>
      <c r="M24" s="4">
        <f>1+1</f>
        <v>2</v>
      </c>
      <c r="N24" s="4"/>
      <c r="O24" s="5">
        <f t="shared" si="1"/>
        <v>0</v>
      </c>
      <c r="Q24">
        <f t="shared" si="2"/>
        <v>48</v>
      </c>
    </row>
    <row r="25" spans="1:17" x14ac:dyDescent="0.2">
      <c r="A25" t="s">
        <v>54</v>
      </c>
      <c r="B25" t="s">
        <v>18</v>
      </c>
      <c r="C25" s="4">
        <v>5</v>
      </c>
      <c r="D25" s="19" t="s">
        <v>83</v>
      </c>
      <c r="E25" s="4">
        <f>10+11+8+5+6</f>
        <v>40</v>
      </c>
      <c r="F25" s="4">
        <f>6+5+8+11+10</f>
        <v>40</v>
      </c>
      <c r="G25" s="4"/>
      <c r="H25" s="5">
        <f t="shared" si="0"/>
        <v>50</v>
      </c>
      <c r="I25" s="5"/>
      <c r="J25" s="2"/>
      <c r="K25" s="4">
        <v>2</v>
      </c>
      <c r="L25" s="4">
        <v>1</v>
      </c>
      <c r="M25" s="4">
        <f>2</f>
        <v>2</v>
      </c>
      <c r="N25" s="4"/>
      <c r="O25" s="5">
        <f t="shared" si="1"/>
        <v>33.333333333333329</v>
      </c>
      <c r="Q25">
        <f t="shared" si="2"/>
        <v>80</v>
      </c>
    </row>
    <row r="26" spans="1:17" x14ac:dyDescent="0.2">
      <c r="A26" t="s">
        <v>38</v>
      </c>
      <c r="B26" t="s">
        <v>10</v>
      </c>
      <c r="C26" s="4">
        <v>5</v>
      </c>
      <c r="D26" s="19" t="s">
        <v>83</v>
      </c>
      <c r="E26" s="4">
        <f>11+9+8+4+7</f>
        <v>39</v>
      </c>
      <c r="F26" s="4">
        <f>5+7+8+12+9</f>
        <v>41</v>
      </c>
      <c r="G26" s="4"/>
      <c r="H26" s="5">
        <f t="shared" si="0"/>
        <v>48.75</v>
      </c>
      <c r="I26" s="5"/>
      <c r="J26" s="2"/>
      <c r="K26" s="4">
        <v>2</v>
      </c>
      <c r="L26" s="4">
        <v>2</v>
      </c>
      <c r="M26" s="4">
        <f>2</f>
        <v>2</v>
      </c>
      <c r="N26" s="4"/>
      <c r="O26" s="5">
        <f t="shared" si="1"/>
        <v>50</v>
      </c>
      <c r="Q26">
        <f t="shared" si="2"/>
        <v>80</v>
      </c>
    </row>
    <row r="27" spans="1:17" x14ac:dyDescent="0.2">
      <c r="A27" t="s">
        <v>44</v>
      </c>
      <c r="B27" s="22" t="s">
        <v>84</v>
      </c>
      <c r="C27" s="4">
        <v>5</v>
      </c>
      <c r="D27" s="19" t="s">
        <v>83</v>
      </c>
      <c r="E27" s="4">
        <f>11+5+9+5+6</f>
        <v>36</v>
      </c>
      <c r="F27" s="4">
        <f>5+11+7+11+10</f>
        <v>44</v>
      </c>
      <c r="G27" s="4"/>
      <c r="H27" s="5">
        <f t="shared" si="0"/>
        <v>45</v>
      </c>
      <c r="I27" s="5"/>
      <c r="J27" s="2"/>
      <c r="K27" s="4">
        <v>2</v>
      </c>
      <c r="L27" s="4">
        <v>1</v>
      </c>
      <c r="M27" s="4">
        <v>2</v>
      </c>
      <c r="N27" s="4"/>
      <c r="O27" s="5">
        <f t="shared" si="1"/>
        <v>33.333333333333329</v>
      </c>
      <c r="Q27">
        <f t="shared" si="2"/>
        <v>80</v>
      </c>
    </row>
    <row r="28" spans="1:17" x14ac:dyDescent="0.2">
      <c r="A28" t="s">
        <v>51</v>
      </c>
      <c r="B28" t="s">
        <v>24</v>
      </c>
      <c r="C28" s="4">
        <v>5</v>
      </c>
      <c r="D28" s="19" t="s">
        <v>83</v>
      </c>
      <c r="E28" s="4">
        <f>18+6+7+4</f>
        <v>35</v>
      </c>
      <c r="F28" s="4">
        <f>14+10+9+12</f>
        <v>45</v>
      </c>
      <c r="G28" s="4"/>
      <c r="H28" s="5">
        <f t="shared" si="0"/>
        <v>43.75</v>
      </c>
      <c r="I28" s="5"/>
      <c r="J28" s="2"/>
      <c r="K28" s="4">
        <v>2</v>
      </c>
      <c r="L28" s="4">
        <v>1</v>
      </c>
      <c r="M28" s="4">
        <f>2</f>
        <v>2</v>
      </c>
      <c r="N28" s="4"/>
      <c r="O28" s="5">
        <f t="shared" si="1"/>
        <v>33.333333333333329</v>
      </c>
      <c r="Q28">
        <f t="shared" si="2"/>
        <v>80</v>
      </c>
    </row>
    <row r="29" spans="1:17" x14ac:dyDescent="0.2">
      <c r="A29" t="s">
        <v>27</v>
      </c>
      <c r="B29" s="22" t="s">
        <v>79</v>
      </c>
      <c r="C29" s="4">
        <v>5</v>
      </c>
      <c r="D29" s="19" t="s">
        <v>83</v>
      </c>
      <c r="E29" s="4">
        <f>2+13+6+5+8</f>
        <v>34</v>
      </c>
      <c r="F29" s="4">
        <f>3+14+10+11+8</f>
        <v>46</v>
      </c>
      <c r="G29" s="4"/>
      <c r="H29" s="5">
        <f t="shared" si="0"/>
        <v>42.5</v>
      </c>
      <c r="I29" s="5"/>
      <c r="J29" s="2"/>
      <c r="K29" s="4">
        <v>1</v>
      </c>
      <c r="L29" s="4">
        <v>2</v>
      </c>
      <c r="M29" s="13">
        <v>1</v>
      </c>
      <c r="N29" s="4"/>
      <c r="O29" s="5">
        <f t="shared" si="1"/>
        <v>66.666666666666657</v>
      </c>
      <c r="Q29">
        <f t="shared" si="2"/>
        <v>80</v>
      </c>
    </row>
    <row r="30" spans="1:17" x14ac:dyDescent="0.2">
      <c r="A30" t="s">
        <v>52</v>
      </c>
      <c r="B30" t="s">
        <v>12</v>
      </c>
      <c r="C30" s="4">
        <v>5</v>
      </c>
      <c r="D30" s="19" t="s">
        <v>83</v>
      </c>
      <c r="E30" s="4">
        <f>14+7+5+6</f>
        <v>32</v>
      </c>
      <c r="F30" s="4">
        <f>18+9+11+10</f>
        <v>48</v>
      </c>
      <c r="G30" s="4"/>
      <c r="H30" s="5">
        <f t="shared" si="0"/>
        <v>40</v>
      </c>
      <c r="I30" s="5"/>
      <c r="J30" s="2"/>
      <c r="L30" s="4"/>
      <c r="M30" s="4"/>
      <c r="N30" s="4"/>
      <c r="O30" s="5" t="str">
        <f t="shared" si="1"/>
        <v/>
      </c>
      <c r="Q30">
        <f t="shared" si="2"/>
        <v>80</v>
      </c>
    </row>
    <row r="31" spans="1:17" x14ac:dyDescent="0.2">
      <c r="A31" s="22" t="s">
        <v>65</v>
      </c>
      <c r="B31" s="22" t="s">
        <v>86</v>
      </c>
      <c r="C31" s="4">
        <v>4</v>
      </c>
      <c r="D31" s="19" t="s">
        <v>89</v>
      </c>
      <c r="E31" s="4">
        <f>4+12+2+7</f>
        <v>25</v>
      </c>
      <c r="F31" s="4">
        <f>12+4+14+9</f>
        <v>39</v>
      </c>
      <c r="G31" s="4"/>
      <c r="H31" s="5">
        <f t="shared" si="0"/>
        <v>39.0625</v>
      </c>
      <c r="I31" s="5"/>
      <c r="J31" s="2"/>
      <c r="K31" s="4">
        <v>1</v>
      </c>
      <c r="L31" s="4">
        <v>0</v>
      </c>
      <c r="M31" s="4">
        <v>1</v>
      </c>
      <c r="N31" s="4"/>
      <c r="O31" s="5">
        <f t="shared" si="1"/>
        <v>0</v>
      </c>
      <c r="Q31">
        <f t="shared" si="2"/>
        <v>64</v>
      </c>
    </row>
    <row r="32" spans="1:17" x14ac:dyDescent="0.2">
      <c r="A32" s="22" t="s">
        <v>45</v>
      </c>
      <c r="B32" s="22" t="s">
        <v>46</v>
      </c>
      <c r="C32" s="4">
        <v>5</v>
      </c>
      <c r="D32" s="19" t="s">
        <v>83</v>
      </c>
      <c r="E32" s="4">
        <f>4+11+10+6+0</f>
        <v>31</v>
      </c>
      <c r="F32" s="4">
        <f>12+5+6+10+16</f>
        <v>49</v>
      </c>
      <c r="G32" s="4"/>
      <c r="H32" s="5">
        <f t="shared" si="0"/>
        <v>38.75</v>
      </c>
      <c r="I32" s="5"/>
      <c r="J32" s="2"/>
      <c r="K32" s="4">
        <v>2</v>
      </c>
      <c r="L32" s="4">
        <v>2</v>
      </c>
      <c r="M32" s="4">
        <f>2</f>
        <v>2</v>
      </c>
      <c r="N32" s="4"/>
      <c r="O32" s="5">
        <f t="shared" si="1"/>
        <v>50</v>
      </c>
      <c r="Q32">
        <f t="shared" si="2"/>
        <v>80</v>
      </c>
    </row>
    <row r="33" spans="1:17" x14ac:dyDescent="0.2">
      <c r="A33" t="s">
        <v>58</v>
      </c>
      <c r="B33" t="s">
        <v>19</v>
      </c>
      <c r="C33" s="4">
        <v>5</v>
      </c>
      <c r="D33" s="19" t="s">
        <v>83</v>
      </c>
      <c r="E33" s="4">
        <f>3+4+7+7+7</f>
        <v>28</v>
      </c>
      <c r="F33" s="4">
        <f>13+12+9+9+9</f>
        <v>52</v>
      </c>
      <c r="G33" s="4"/>
      <c r="H33" s="5">
        <f t="shared" si="0"/>
        <v>35</v>
      </c>
      <c r="I33" s="5"/>
      <c r="J33" s="2"/>
      <c r="L33" s="4"/>
      <c r="M33" s="4"/>
      <c r="N33" s="4"/>
      <c r="O33" s="5" t="str">
        <f t="shared" si="1"/>
        <v/>
      </c>
      <c r="Q33">
        <f t="shared" si="2"/>
        <v>80</v>
      </c>
    </row>
    <row r="34" spans="1:17" x14ac:dyDescent="0.2">
      <c r="A34" t="s">
        <v>53</v>
      </c>
      <c r="B34" t="s">
        <v>22</v>
      </c>
      <c r="C34" s="4">
        <v>5</v>
      </c>
      <c r="D34" s="19" t="s">
        <v>83</v>
      </c>
      <c r="E34" s="4">
        <f>11+1+10+5</f>
        <v>27</v>
      </c>
      <c r="F34" s="4">
        <f>21+14+6+11</f>
        <v>52</v>
      </c>
      <c r="G34" s="4">
        <f>1</f>
        <v>1</v>
      </c>
      <c r="H34" s="5">
        <f t="shared" si="0"/>
        <v>34.177215189873415</v>
      </c>
      <c r="I34" s="5"/>
      <c r="J34" s="2"/>
      <c r="K34" s="4">
        <v>1</v>
      </c>
      <c r="L34" s="4">
        <v>0</v>
      </c>
      <c r="M34" s="4">
        <v>1</v>
      </c>
      <c r="N34" s="4"/>
      <c r="O34" s="5">
        <f t="shared" si="1"/>
        <v>0</v>
      </c>
      <c r="Q34">
        <f t="shared" si="2"/>
        <v>80</v>
      </c>
    </row>
    <row r="35" spans="1:17" x14ac:dyDescent="0.2">
      <c r="A35" t="s">
        <v>57</v>
      </c>
      <c r="B35" t="s">
        <v>25</v>
      </c>
      <c r="C35" s="4">
        <v>5</v>
      </c>
      <c r="D35" s="19" t="s">
        <v>83</v>
      </c>
      <c r="E35" s="4">
        <f>7+4+4+5+5</f>
        <v>25</v>
      </c>
      <c r="F35" s="4">
        <f>9+12+12+11+11</f>
        <v>55</v>
      </c>
      <c r="G35" s="4"/>
      <c r="H35" s="5">
        <f t="shared" si="0"/>
        <v>31.25</v>
      </c>
      <c r="I35" s="5"/>
      <c r="J35" s="2"/>
      <c r="L35" s="4"/>
      <c r="M35" s="4"/>
      <c r="N35" s="4"/>
      <c r="O35" s="5" t="str">
        <f t="shared" si="1"/>
        <v/>
      </c>
      <c r="Q35">
        <f t="shared" si="2"/>
        <v>80</v>
      </c>
    </row>
    <row r="36" spans="1:17" x14ac:dyDescent="0.2">
      <c r="A36" t="s">
        <v>55</v>
      </c>
      <c r="B36" t="s">
        <v>56</v>
      </c>
      <c r="C36" s="4">
        <v>5</v>
      </c>
      <c r="D36" s="19" t="s">
        <v>83</v>
      </c>
      <c r="E36" s="4">
        <f>4+5+3+4+0</f>
        <v>16</v>
      </c>
      <c r="F36" s="4">
        <f>12+11+13+12+16</f>
        <v>64</v>
      </c>
      <c r="G36" s="4"/>
      <c r="H36" s="5">
        <f t="shared" si="0"/>
        <v>20</v>
      </c>
      <c r="J36" s="2"/>
      <c r="L36" s="4"/>
      <c r="M36" s="4"/>
      <c r="O36" s="5" t="str">
        <f t="shared" si="1"/>
        <v/>
      </c>
      <c r="Q36">
        <f t="shared" si="2"/>
        <v>80</v>
      </c>
    </row>
    <row r="37" spans="1:17" x14ac:dyDescent="0.2">
      <c r="A37" s="22" t="s">
        <v>80</v>
      </c>
      <c r="B37" s="22" t="s">
        <v>87</v>
      </c>
      <c r="C37" s="4">
        <v>2</v>
      </c>
      <c r="D37" s="19" t="s">
        <v>90</v>
      </c>
      <c r="E37" s="13">
        <f>3+3</f>
        <v>6</v>
      </c>
      <c r="F37" s="4">
        <f>13+13</f>
        <v>26</v>
      </c>
      <c r="G37" s="4"/>
      <c r="H37" s="5">
        <f t="shared" si="0"/>
        <v>18.75</v>
      </c>
      <c r="I37" s="5"/>
      <c r="J37" s="2"/>
      <c r="L37" s="4"/>
      <c r="M37" s="4"/>
      <c r="N37" s="4"/>
      <c r="O37" s="5" t="str">
        <f t="shared" si="1"/>
        <v/>
      </c>
      <c r="Q37">
        <f t="shared" si="2"/>
        <v>32</v>
      </c>
    </row>
    <row r="38" spans="1:17" x14ac:dyDescent="0.2">
      <c r="D38" s="19"/>
      <c r="E38" s="4"/>
      <c r="F38" s="4"/>
      <c r="G38" s="4"/>
      <c r="H38" s="5"/>
      <c r="I38" s="5"/>
      <c r="J38" s="2"/>
      <c r="L38" s="4"/>
      <c r="M38" s="4"/>
      <c r="N38" s="4"/>
      <c r="O38" s="5"/>
      <c r="Q38">
        <f t="shared" si="2"/>
        <v>0</v>
      </c>
    </row>
    <row r="39" spans="1:17" x14ac:dyDescent="0.2">
      <c r="A39" t="s">
        <v>50</v>
      </c>
      <c r="B39" t="s">
        <v>49</v>
      </c>
      <c r="C39" s="4">
        <v>3</v>
      </c>
      <c r="D39" s="19" t="s">
        <v>66</v>
      </c>
      <c r="E39" s="4">
        <f>12+9+8</f>
        <v>29</v>
      </c>
      <c r="F39" s="4">
        <f>4+7+8</f>
        <v>19</v>
      </c>
      <c r="G39" s="4"/>
      <c r="H39" s="5">
        <f t="shared" ref="H39:H47" si="3">IF(E39+F39=0,"",E39/(F39+E39)*100)</f>
        <v>60.416666666666664</v>
      </c>
      <c r="I39" s="5"/>
      <c r="J39" s="2"/>
      <c r="K39" s="4">
        <v>2</v>
      </c>
      <c r="L39" s="4">
        <v>1</v>
      </c>
      <c r="M39" s="4">
        <v>2</v>
      </c>
      <c r="N39" s="4"/>
      <c r="O39" s="5">
        <f t="shared" ref="O39:O45" si="4">IF(L39+M39=0,"",L39/(M39+L39)*100)</f>
        <v>33.333333333333329</v>
      </c>
      <c r="Q39">
        <f t="shared" si="2"/>
        <v>48</v>
      </c>
    </row>
    <row r="40" spans="1:17" x14ac:dyDescent="0.2">
      <c r="A40" t="s">
        <v>70</v>
      </c>
      <c r="B40" t="s">
        <v>71</v>
      </c>
      <c r="C40" s="4">
        <v>2</v>
      </c>
      <c r="D40" s="19" t="s">
        <v>75</v>
      </c>
      <c r="E40" s="4">
        <f>9+8</f>
        <v>17</v>
      </c>
      <c r="F40" s="4">
        <f>7+8</f>
        <v>15</v>
      </c>
      <c r="G40" s="4"/>
      <c r="H40" s="5">
        <f t="shared" si="3"/>
        <v>53.125</v>
      </c>
      <c r="I40" s="5"/>
      <c r="J40" s="2"/>
      <c r="K40" s="4">
        <v>1</v>
      </c>
      <c r="L40" s="4">
        <v>0</v>
      </c>
      <c r="M40" s="4">
        <v>1</v>
      </c>
      <c r="N40" s="4"/>
      <c r="O40" s="5">
        <f t="shared" si="4"/>
        <v>0</v>
      </c>
      <c r="Q40">
        <f t="shared" si="2"/>
        <v>32</v>
      </c>
    </row>
    <row r="41" spans="1:17" x14ac:dyDescent="0.2">
      <c r="A41" t="s">
        <v>35</v>
      </c>
      <c r="B41" t="s">
        <v>36</v>
      </c>
      <c r="C41" s="4">
        <v>3</v>
      </c>
      <c r="D41" s="19" t="s">
        <v>66</v>
      </c>
      <c r="E41" s="4">
        <f>8+7+10</f>
        <v>25</v>
      </c>
      <c r="F41" s="4">
        <f>8+9+6</f>
        <v>23</v>
      </c>
      <c r="G41" s="4"/>
      <c r="H41" s="5">
        <f t="shared" si="3"/>
        <v>52.083333333333336</v>
      </c>
      <c r="I41" s="5"/>
      <c r="J41" s="2"/>
      <c r="K41" s="4">
        <v>1</v>
      </c>
      <c r="L41" s="4">
        <v>1</v>
      </c>
      <c r="M41" s="4">
        <v>1</v>
      </c>
      <c r="N41" s="4"/>
      <c r="O41" s="5">
        <f t="shared" si="4"/>
        <v>50</v>
      </c>
      <c r="Q41">
        <f t="shared" si="2"/>
        <v>48</v>
      </c>
    </row>
    <row r="42" spans="1:17" x14ac:dyDescent="0.2">
      <c r="A42" t="s">
        <v>62</v>
      </c>
      <c r="B42" s="20" t="s">
        <v>61</v>
      </c>
      <c r="C42" s="4">
        <v>2</v>
      </c>
      <c r="D42" s="19" t="s">
        <v>63</v>
      </c>
      <c r="E42" s="4">
        <f>6+9</f>
        <v>15</v>
      </c>
      <c r="F42" s="4">
        <f>10+7</f>
        <v>17</v>
      </c>
      <c r="G42" s="4"/>
      <c r="H42" s="5">
        <f t="shared" si="3"/>
        <v>46.875</v>
      </c>
      <c r="I42" s="5"/>
      <c r="J42" s="2"/>
      <c r="K42" s="4">
        <v>1</v>
      </c>
      <c r="L42" s="4">
        <v>0</v>
      </c>
      <c r="M42" s="4">
        <v>1</v>
      </c>
      <c r="N42" s="4"/>
      <c r="O42" s="5">
        <f t="shared" si="4"/>
        <v>0</v>
      </c>
      <c r="Q42">
        <f t="shared" si="2"/>
        <v>32</v>
      </c>
    </row>
    <row r="43" spans="1:17" x14ac:dyDescent="0.2">
      <c r="A43" t="s">
        <v>34</v>
      </c>
      <c r="B43" t="s">
        <v>17</v>
      </c>
      <c r="C43" s="4">
        <v>4</v>
      </c>
      <c r="D43" s="19" t="s">
        <v>72</v>
      </c>
      <c r="E43" s="4">
        <f>2+8+10+9</f>
        <v>29</v>
      </c>
      <c r="F43" s="4">
        <f>14+8+6+6</f>
        <v>34</v>
      </c>
      <c r="G43" s="4">
        <v>1</v>
      </c>
      <c r="H43" s="5">
        <f t="shared" si="3"/>
        <v>46.031746031746032</v>
      </c>
      <c r="I43" s="5"/>
      <c r="J43" s="2"/>
      <c r="K43" s="4">
        <v>1</v>
      </c>
      <c r="L43" s="4">
        <v>0</v>
      </c>
      <c r="M43" s="4">
        <f>1+1</f>
        <v>2</v>
      </c>
      <c r="N43" s="4"/>
      <c r="O43" s="5">
        <f t="shared" si="4"/>
        <v>0</v>
      </c>
      <c r="Q43">
        <f t="shared" si="2"/>
        <v>64</v>
      </c>
    </row>
    <row r="44" spans="1:17" x14ac:dyDescent="0.2">
      <c r="A44" t="s">
        <v>40</v>
      </c>
      <c r="B44" t="s">
        <v>14</v>
      </c>
      <c r="C44" s="4">
        <v>3</v>
      </c>
      <c r="D44" s="19" t="s">
        <v>72</v>
      </c>
      <c r="E44" s="4">
        <f>18+4+3</f>
        <v>25</v>
      </c>
      <c r="F44" s="4">
        <f>14+12+9</f>
        <v>35</v>
      </c>
      <c r="G44" s="4"/>
      <c r="H44" s="5">
        <f t="shared" si="3"/>
        <v>41.666666666666671</v>
      </c>
      <c r="I44" s="5"/>
      <c r="J44" s="2">
        <v>1</v>
      </c>
      <c r="K44" s="4">
        <v>1</v>
      </c>
      <c r="L44" s="4">
        <v>3</v>
      </c>
      <c r="M44" s="4">
        <v>0</v>
      </c>
      <c r="N44" s="4"/>
      <c r="O44" s="5">
        <f t="shared" si="4"/>
        <v>100</v>
      </c>
      <c r="Q44">
        <f t="shared" si="2"/>
        <v>60</v>
      </c>
    </row>
    <row r="45" spans="1:17" x14ac:dyDescent="0.2">
      <c r="A45" t="s">
        <v>60</v>
      </c>
      <c r="B45" t="s">
        <v>15</v>
      </c>
      <c r="C45" s="4">
        <v>3</v>
      </c>
      <c r="D45" s="19" t="s">
        <v>66</v>
      </c>
      <c r="E45" s="4">
        <f>8+7+3</f>
        <v>18</v>
      </c>
      <c r="F45" s="4">
        <f>8+9+13</f>
        <v>30</v>
      </c>
      <c r="G45" s="4"/>
      <c r="H45" s="5">
        <f t="shared" si="3"/>
        <v>37.5</v>
      </c>
      <c r="I45" s="5"/>
      <c r="J45" s="2"/>
      <c r="L45" s="4"/>
      <c r="M45" s="4"/>
      <c r="N45" s="4"/>
      <c r="O45" s="5" t="str">
        <f t="shared" si="4"/>
        <v/>
      </c>
      <c r="Q45">
        <f t="shared" si="2"/>
        <v>48</v>
      </c>
    </row>
    <row r="46" spans="1:17" x14ac:dyDescent="0.2">
      <c r="A46" t="s">
        <v>48</v>
      </c>
      <c r="B46" t="s">
        <v>0</v>
      </c>
      <c r="C46" s="4">
        <v>1</v>
      </c>
      <c r="D46" s="19">
        <v>2016</v>
      </c>
      <c r="E46" s="4">
        <v>5</v>
      </c>
      <c r="F46" s="4">
        <v>11</v>
      </c>
      <c r="G46" s="4"/>
      <c r="H46" s="5">
        <f t="shared" si="3"/>
        <v>31.25</v>
      </c>
      <c r="I46" s="5"/>
      <c r="J46" s="2"/>
      <c r="L46" s="4"/>
      <c r="M46" s="13"/>
      <c r="N46" s="4"/>
      <c r="O46" s="5"/>
      <c r="Q46">
        <f t="shared" si="2"/>
        <v>16</v>
      </c>
    </row>
    <row r="47" spans="1:17" x14ac:dyDescent="0.2">
      <c r="A47" t="s">
        <v>30</v>
      </c>
      <c r="B47" t="s">
        <v>21</v>
      </c>
      <c r="C47" s="4">
        <v>1</v>
      </c>
      <c r="D47" s="19">
        <v>2016</v>
      </c>
      <c r="E47" s="4">
        <v>3</v>
      </c>
      <c r="F47" s="4">
        <v>13</v>
      </c>
      <c r="G47" s="4"/>
      <c r="H47" s="5">
        <f t="shared" si="3"/>
        <v>18.75</v>
      </c>
      <c r="I47" s="5"/>
      <c r="J47" s="2"/>
      <c r="L47" s="4"/>
      <c r="M47" s="4"/>
      <c r="N47" s="4"/>
      <c r="O47" s="5"/>
      <c r="Q47">
        <f t="shared" si="2"/>
        <v>16</v>
      </c>
    </row>
    <row r="49" spans="5:17" x14ac:dyDescent="0.2">
      <c r="E49" s="4">
        <f>SUM(E10:E48)</f>
        <v>1117</v>
      </c>
      <c r="F49" s="4">
        <f>SUM(F10:F48)</f>
        <v>1117</v>
      </c>
      <c r="G49" s="4">
        <f>SUM(G10:G48)</f>
        <v>6</v>
      </c>
      <c r="J49" s="2">
        <f>SUM(J10:J48)</f>
        <v>5</v>
      </c>
      <c r="L49" s="4">
        <f>SUM(L10:L48)</f>
        <v>61</v>
      </c>
      <c r="M49" s="4">
        <f>SUM(M10:M48)</f>
        <v>60</v>
      </c>
      <c r="N49" s="4"/>
      <c r="Q49" s="4">
        <f>SUM(Q10:Q48)</f>
        <v>2240</v>
      </c>
    </row>
  </sheetData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</cp:lastModifiedBy>
  <dcterms:created xsi:type="dcterms:W3CDTF">2005-03-29T04:30:29Z</dcterms:created>
  <dcterms:modified xsi:type="dcterms:W3CDTF">2023-01-31T03:28:50Z</dcterms:modified>
</cp:coreProperties>
</file>